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2" windowWidth="8472" windowHeight="615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Rajagopal</author>
    <author>raj1</author>
  </authors>
  <commentList>
    <comment ref="B4" authorId="0">
      <text>
        <r>
          <rPr>
            <b/>
            <sz val="8"/>
            <rFont val="Tahoma"/>
            <family val="0"/>
          </rPr>
          <t>Height of retaining wall (m)</t>
        </r>
      </text>
    </comment>
    <comment ref="B5" authorId="0">
      <text>
        <r>
          <rPr>
            <b/>
            <sz val="8"/>
            <rFont val="Tahoma"/>
            <family val="0"/>
          </rPr>
          <t>cohesion of soil</t>
        </r>
      </text>
    </comment>
    <comment ref="B6" authorId="0">
      <text>
        <r>
          <rPr>
            <sz val="8"/>
            <rFont val="Tahoma"/>
            <family val="0"/>
          </rPr>
          <t xml:space="preserve">friction angle of reinforced fill soil
</t>
        </r>
      </text>
    </comment>
    <comment ref="B7" authorId="0">
      <text>
        <r>
          <rPr>
            <b/>
            <sz val="8"/>
            <rFont val="Tahoma"/>
            <family val="0"/>
          </rPr>
          <t>friction angle of back-fill soil</t>
        </r>
      </text>
    </comment>
    <comment ref="B8" authorId="0">
      <text>
        <r>
          <rPr>
            <b/>
            <sz val="8"/>
            <rFont val="Tahoma"/>
            <family val="0"/>
          </rPr>
          <t>unit weight of backfill soil</t>
        </r>
      </text>
    </comment>
    <comment ref="B9" authorId="0">
      <text>
        <r>
          <rPr>
            <b/>
            <sz val="8"/>
            <rFont val="Tahoma"/>
            <family val="0"/>
          </rPr>
          <t>unit weight of infill soil</t>
        </r>
      </text>
    </comment>
    <comment ref="B10" authorId="0">
      <text>
        <r>
          <rPr>
            <b/>
            <sz val="8"/>
            <rFont val="Tahoma"/>
            <family val="0"/>
          </rPr>
          <t>interaction parameter for pullout calculations</t>
        </r>
      </text>
    </comment>
    <comment ref="B11" authorId="0">
      <text>
        <r>
          <rPr>
            <b/>
            <sz val="8"/>
            <rFont val="Tahoma"/>
            <family val="0"/>
          </rPr>
          <t>allowable bearing pressure of foundation soil</t>
        </r>
      </text>
    </comment>
    <comment ref="B12" authorId="0">
      <text>
        <r>
          <rPr>
            <b/>
            <sz val="8"/>
            <rFont val="Tahoma"/>
            <family val="0"/>
          </rPr>
          <t>permanent surcharge</t>
        </r>
      </text>
    </comment>
    <comment ref="B13" authorId="0">
      <text>
        <r>
          <rPr>
            <b/>
            <sz val="8"/>
            <rFont val="Tahoma"/>
            <family val="0"/>
          </rPr>
          <t>live load surcharge</t>
        </r>
      </text>
    </comment>
    <comment ref="B14" authorId="0">
      <text>
        <r>
          <rPr>
            <b/>
            <sz val="8"/>
            <rFont val="Tahoma"/>
            <family val="0"/>
          </rPr>
          <t>length of reinforced block</t>
        </r>
      </text>
    </comment>
    <comment ref="B19" authorId="0">
      <text>
        <r>
          <rPr>
            <b/>
            <sz val="8"/>
            <rFont val="Tahoma"/>
            <family val="0"/>
          </rPr>
          <t>active lateral earth coefficient of backfill soil</t>
        </r>
      </text>
    </comment>
    <comment ref="B21" authorId="0">
      <text>
        <r>
          <rPr>
            <b/>
            <sz val="8"/>
            <rFont val="Tahoma"/>
            <family val="0"/>
          </rPr>
          <t>active lateral force due to self weight
=0.5*Ka*gm*H*H</t>
        </r>
      </text>
    </comment>
    <comment ref="B22" authorId="0">
      <text>
        <r>
          <rPr>
            <b/>
            <sz val="8"/>
            <rFont val="Tahoma"/>
            <family val="0"/>
          </rPr>
          <t>active lateral force due to surcharge = Ka.q.H</t>
        </r>
      </text>
    </comment>
    <comment ref="E4" authorId="0">
      <text>
        <r>
          <rPr>
            <b/>
            <sz val="8"/>
            <rFont val="Tahoma"/>
            <family val="0"/>
          </rPr>
          <t>long term allowable design strength of the reinforcement</t>
        </r>
      </text>
    </comment>
    <comment ref="E5" authorId="0">
      <text>
        <r>
          <rPr>
            <b/>
            <sz val="8"/>
            <rFont val="Tahoma"/>
            <family val="0"/>
          </rPr>
          <t>thickness of soil compaction layers (m)</t>
        </r>
      </text>
    </comment>
    <comment ref="E11" authorId="0">
      <text>
        <r>
          <rPr>
            <b/>
            <sz val="8"/>
            <rFont val="Tahoma"/>
            <family val="0"/>
          </rPr>
          <t>Significant depth over which the effect of lateral load is felt on reinforcement layers</t>
        </r>
      </text>
    </comment>
    <comment ref="E8" authorId="0">
      <text>
        <r>
          <rPr>
            <b/>
            <sz val="8"/>
            <rFont val="Tahoma"/>
            <family val="0"/>
          </rPr>
          <t>footing width</t>
        </r>
      </text>
    </comment>
    <comment ref="E9" authorId="0">
      <text>
        <r>
          <rPr>
            <b/>
            <sz val="8"/>
            <rFont val="Tahoma"/>
            <family val="0"/>
          </rPr>
          <t>distance to edge of footing from front</t>
        </r>
      </text>
    </comment>
    <comment ref="E10" authorId="0">
      <text>
        <r>
          <rPr>
            <b/>
            <sz val="8"/>
            <rFont val="Tahoma"/>
            <family val="0"/>
          </rPr>
          <t>Effective load =
vertical applied load - surcharge*(front dist.+footing width),
cannot be negative !!</t>
        </r>
      </text>
    </comment>
    <comment ref="H4" authorId="0">
      <text>
        <r>
          <rPr>
            <b/>
            <sz val="8"/>
            <rFont val="Tahoma"/>
            <family val="0"/>
          </rPr>
          <t xml:space="preserve">value of </t>
        </r>
        <r>
          <rPr>
            <b/>
            <sz val="8"/>
            <rFont val="Symbol"/>
            <family val="1"/>
          </rPr>
          <t>p</t>
        </r>
        <r>
          <rPr>
            <b/>
            <sz val="8"/>
            <rFont val="Tahoma"/>
            <family val="0"/>
          </rPr>
          <t xml:space="preserve">
</t>
        </r>
      </text>
    </comment>
    <comment ref="F13" authorId="0">
      <text>
        <r>
          <rPr>
            <b/>
            <sz val="8"/>
            <rFont val="Tahoma"/>
            <family val="0"/>
          </rPr>
          <t>peak ground acceleration, a</t>
        </r>
      </text>
    </comment>
    <comment ref="F14" authorId="0">
      <text>
        <r>
          <rPr>
            <b/>
            <sz val="8"/>
            <rFont val="Tahoma"/>
            <family val="0"/>
          </rPr>
          <t>average acceleration in the soil
am=(1.45-a)*a</t>
        </r>
      </text>
    </comment>
    <comment ref="E19" authorId="0">
      <text>
        <r>
          <rPr>
            <b/>
            <sz val="8"/>
            <rFont val="Tahoma"/>
            <family val="0"/>
          </rPr>
          <t>seismic external force due to inertia of fill soil = 0.5*am*g*H*H</t>
        </r>
      </text>
    </comment>
    <comment ref="E20" authorId="0">
      <text>
        <r>
          <rPr>
            <b/>
            <sz val="8"/>
            <rFont val="Tahoma"/>
            <family val="0"/>
          </rPr>
          <t>lateral thrust from backfill soil due to seismic action = 0.375*am*g*H*H</t>
        </r>
      </text>
    </comment>
    <comment ref="C30" authorId="0">
      <text>
        <r>
          <rPr>
            <b/>
            <sz val="8"/>
            <rFont val="Tahoma"/>
            <family val="0"/>
          </rPr>
          <t>check for eccentricity less than L/6</t>
        </r>
      </text>
    </comment>
    <comment ref="F30" authorId="0">
      <text>
        <r>
          <rPr>
            <b/>
            <sz val="8"/>
            <rFont val="Tahoma"/>
            <family val="0"/>
          </rPr>
          <t>check that the bearing pressure on foundation soil is less than the allowable bearing pressure of soil</t>
        </r>
      </text>
    </comment>
    <comment ref="G19" authorId="0">
      <text>
        <r>
          <rPr>
            <b/>
            <sz val="8"/>
            <rFont val="Tahoma"/>
            <family val="0"/>
          </rPr>
          <t>Vertical force from the wedge for seismic intertial force</t>
        </r>
      </text>
    </comment>
    <comment ref="E21" authorId="0">
      <text>
        <r>
          <rPr>
            <b/>
            <sz val="8"/>
            <rFont val="Tahoma"/>
            <family val="0"/>
          </rPr>
          <t>earthquake lateral force = P-IR+0.5*P-AE</t>
        </r>
      </text>
    </comment>
    <comment ref="D23" authorId="0">
      <text>
        <r>
          <rPr>
            <b/>
            <sz val="8"/>
            <rFont val="Tahoma"/>
            <family val="0"/>
          </rPr>
          <t>eq. moment = 0.5*H*P-IR
+0.6*H*P-AE/2</t>
        </r>
      </text>
    </comment>
    <comment ref="G20" authorId="0">
      <text>
        <r>
          <rPr>
            <b/>
            <sz val="8"/>
            <rFont val="Tahoma"/>
            <family val="0"/>
          </rPr>
          <t>inertial force to consider for internal stability calculations</t>
        </r>
      </text>
    </comment>
    <comment ref="H5" authorId="0">
      <text>
        <r>
          <rPr>
            <b/>
            <sz val="8"/>
            <rFont val="Tahoma"/>
            <family val="0"/>
          </rPr>
          <t xml:space="preserve">backfill slope angle </t>
        </r>
        <r>
          <rPr>
            <b/>
            <sz val="8"/>
            <rFont val="Symbol"/>
            <family val="1"/>
          </rPr>
          <t>b</t>
        </r>
      </text>
    </comment>
    <comment ref="H6" authorId="0">
      <text>
        <r>
          <rPr>
            <b/>
            <sz val="8"/>
            <rFont val="Tahoma"/>
            <family val="0"/>
          </rPr>
          <t>effective height = 
H + L tan</t>
        </r>
        <r>
          <rPr>
            <b/>
            <sz val="8"/>
            <rFont val="Symbol"/>
            <family val="1"/>
          </rPr>
          <t>b</t>
        </r>
      </text>
    </comment>
    <comment ref="B18" authorId="0">
      <text>
        <r>
          <rPr>
            <b/>
            <sz val="8"/>
            <rFont val="Tahoma"/>
            <family val="0"/>
          </rPr>
          <t>Ko=1-sin</t>
        </r>
        <r>
          <rPr>
            <b/>
            <sz val="8"/>
            <rFont val="Symbol"/>
            <family val="1"/>
          </rPr>
          <t>f</t>
        </r>
      </text>
    </comment>
    <comment ref="B20" authorId="0">
      <text>
        <r>
          <rPr>
            <b/>
            <sz val="8"/>
            <rFont val="Tahoma"/>
            <family val="0"/>
          </rPr>
          <t>active lateral earth coefficient of backfill soil</t>
        </r>
      </text>
    </comment>
    <comment ref="E7" authorId="0">
      <text>
        <r>
          <rPr>
            <b/>
            <sz val="8"/>
            <rFont val="Tahoma"/>
            <family val="0"/>
          </rPr>
          <t>horizontal load from breaking forces of vehicles and lateral thrust on bridge abutment</t>
        </r>
      </text>
    </comment>
    <comment ref="B28" authorId="0">
      <text>
        <r>
          <rPr>
            <b/>
            <sz val="8"/>
            <rFont val="Tahoma"/>
            <family val="0"/>
          </rPr>
          <t>Factor of safety against lateral sliding not considering the live load surcharge</t>
        </r>
      </text>
    </comment>
    <comment ref="H24" authorId="0">
      <text>
        <r>
          <rPr>
            <b/>
            <sz val="8"/>
            <rFont val="Tahoma"/>
            <family val="0"/>
          </rPr>
          <t>This is the force on the critical wedge behind the bridge abutment.  Check that sufficient reinforcement is provided to counteract this force</t>
        </r>
      </text>
    </comment>
    <comment ref="E6" authorId="0">
      <text>
        <r>
          <rPr>
            <b/>
            <sz val="8"/>
            <rFont val="Tahoma"/>
            <family val="0"/>
          </rPr>
          <t>Vertical load on the bridge abutment</t>
        </r>
      </text>
    </comment>
    <comment ref="K83" authorId="1">
      <text>
        <r>
          <rPr>
            <b/>
            <sz val="8"/>
            <rFont val="Tahoma"/>
            <family val="0"/>
          </rPr>
          <t>this should be equal to the seismic intertial force</t>
        </r>
      </text>
    </comment>
  </commentList>
</comments>
</file>

<file path=xl/sharedStrings.xml><?xml version="1.0" encoding="utf-8"?>
<sst xmlns="http://schemas.openxmlformats.org/spreadsheetml/2006/main" count="102" uniqueCount="81">
  <si>
    <t>H=</t>
  </si>
  <si>
    <t>m</t>
  </si>
  <si>
    <t>coh=</t>
  </si>
  <si>
    <t>kPa</t>
  </si>
  <si>
    <t xml:space="preserve">phi-r = </t>
  </si>
  <si>
    <t>deg</t>
  </si>
  <si>
    <t>phi-back=</t>
  </si>
  <si>
    <t>q-all</t>
  </si>
  <si>
    <t>q-LL=</t>
  </si>
  <si>
    <t xml:space="preserve">q-p = </t>
  </si>
  <si>
    <t>Length</t>
  </si>
  <si>
    <t xml:space="preserve">K-ab = </t>
  </si>
  <si>
    <t xml:space="preserve">K-ar = </t>
  </si>
  <si>
    <t>Pa-gam=</t>
  </si>
  <si>
    <t xml:space="preserve">gam-b = </t>
  </si>
  <si>
    <t>kN/m3</t>
  </si>
  <si>
    <t>gam-r=</t>
  </si>
  <si>
    <t>Pa-q=</t>
  </si>
  <si>
    <t>Pa-tot=</t>
  </si>
  <si>
    <t>Mo-gam=</t>
  </si>
  <si>
    <t>Mo-q=</t>
  </si>
  <si>
    <t>Mo-tot=</t>
  </si>
  <si>
    <t>FS-slid=</t>
  </si>
  <si>
    <t>FS-OTM=</t>
  </si>
  <si>
    <t>e-bearing</t>
  </si>
  <si>
    <t xml:space="preserve">sig-vb = </t>
  </si>
  <si>
    <t>T-LTDS=</t>
  </si>
  <si>
    <t>kN/m</t>
  </si>
  <si>
    <t>z-m</t>
  </si>
  <si>
    <t>sigma-vb</t>
  </si>
  <si>
    <t>e</t>
  </si>
  <si>
    <t>M</t>
  </si>
  <si>
    <t>Layer=</t>
  </si>
  <si>
    <t>depth</t>
  </si>
  <si>
    <t>embed-L</t>
  </si>
  <si>
    <t>Force</t>
  </si>
  <si>
    <t>FS-rup</t>
  </si>
  <si>
    <t>Pullcap</t>
  </si>
  <si>
    <t>FS-pull</t>
  </si>
  <si>
    <t>int. parm.=</t>
  </si>
  <si>
    <t>Vert load</t>
  </si>
  <si>
    <t>Hor. Load</t>
  </si>
  <si>
    <t>Foot.width</t>
  </si>
  <si>
    <t>Front dist.</t>
  </si>
  <si>
    <t>Vert. force</t>
  </si>
  <si>
    <t>sig. depth</t>
  </si>
  <si>
    <t>pi=</t>
  </si>
  <si>
    <t>Force-Fh</t>
  </si>
  <si>
    <t>Tot force</t>
  </si>
  <si>
    <t>Reinforcement layers at depths: 5, 4.75,4.5, 4.0, 3.5, 3.0,2.5,1.5, 0.50, 0.25</t>
  </si>
  <si>
    <t>Vert. strs.</t>
  </si>
  <si>
    <t>Fv-force</t>
  </si>
  <si>
    <t xml:space="preserve">ground accleration = </t>
  </si>
  <si>
    <t>acceleration in soil=</t>
  </si>
  <si>
    <t xml:space="preserve">P-IR = </t>
  </si>
  <si>
    <t>P-AE</t>
  </si>
  <si>
    <t>P-earthq.</t>
  </si>
  <si>
    <t>M-earthq=</t>
  </si>
  <si>
    <t xml:space="preserve"> </t>
  </si>
  <si>
    <t>Max. V. spac.</t>
  </si>
  <si>
    <t>Iner. Forc.</t>
  </si>
  <si>
    <t>grid. Cap.</t>
  </si>
  <si>
    <t>P-wedge</t>
  </si>
  <si>
    <t>P-int-eq</t>
  </si>
  <si>
    <t>Ko-r</t>
  </si>
  <si>
    <t>K-ar</t>
  </si>
  <si>
    <t>T. strength</t>
  </si>
  <si>
    <t>backslope</t>
  </si>
  <si>
    <t>effec. Ht</t>
  </si>
  <si>
    <t>effe. Depth</t>
  </si>
  <si>
    <t>Eff V.Load</t>
  </si>
  <si>
    <t>effect. H</t>
  </si>
  <si>
    <t>force-Fh</t>
  </si>
  <si>
    <t xml:space="preserve">Wedge force = </t>
  </si>
  <si>
    <t>INTERNAL STABILITY CALCULATIONS:</t>
  </si>
  <si>
    <t>Forces and Moments acting on the wall</t>
  </si>
  <si>
    <t>Results from External Stability Calculations</t>
  </si>
  <si>
    <t>Maximum Permissible Vertical Spacing at Different Depths</t>
  </si>
  <si>
    <t>Total tensile capacity provided = 9*40 = 360</t>
  </si>
  <si>
    <t>Total no. of layers = 9</t>
  </si>
  <si>
    <t>Simple Calculations for RE Walls with stiff grids</t>
  </si>
</sst>
</file>

<file path=xl/styles.xml><?xml version="1.0" encoding="utf-8"?>
<styleSheet xmlns="http://schemas.openxmlformats.org/spreadsheetml/2006/main">
  <numFmts count="19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h:mm:ss\ AM/PM"/>
    <numFmt numFmtId="173" formatCode="[$-409]dddd\,\ mmmm\ dd\,\ yyyy"/>
    <numFmt numFmtId="174" formatCode="0.0"/>
  </numFmts>
  <fonts count="49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name val="Symbol"/>
      <family val="1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Arial Black"/>
      <family val="2"/>
    </font>
    <font>
      <b/>
      <sz val="12"/>
      <color indexed="10"/>
      <name val="Arial Black"/>
      <family val="2"/>
    </font>
    <font>
      <sz val="1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Arial Black"/>
      <family val="2"/>
    </font>
    <font>
      <b/>
      <sz val="12"/>
      <color rgb="FFFF0000"/>
      <name val="Arial Black"/>
      <family val="2"/>
    </font>
    <font>
      <sz val="18"/>
      <color rgb="FFFF0000"/>
      <name val="Arial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2" fontId="0" fillId="0" borderId="0" xfId="0" applyNumberFormat="1" applyAlignment="1">
      <alignment/>
    </xf>
    <xf numFmtId="0" fontId="7" fillId="0" borderId="0" xfId="0" applyFont="1" applyAlignment="1">
      <alignment/>
    </xf>
    <xf numFmtId="0" fontId="45" fillId="0" borderId="0" xfId="0" applyFont="1" applyAlignment="1">
      <alignment/>
    </xf>
    <xf numFmtId="0" fontId="0" fillId="34" borderId="0" xfId="0" applyFill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7"/>
  <sheetViews>
    <sheetView tabSelected="1" zoomScalePageLayoutView="0" workbookViewId="0" topLeftCell="A1">
      <selection activeCell="B2" sqref="B2"/>
    </sheetView>
  </sheetViews>
  <sheetFormatPr defaultColWidth="9.140625" defaultRowHeight="12.75"/>
  <cols>
    <col min="4" max="4" width="10.7109375" style="0" customWidth="1"/>
  </cols>
  <sheetData>
    <row r="1" ht="23.25">
      <c r="A1" s="8" t="s">
        <v>80</v>
      </c>
    </row>
    <row r="4" spans="1:8" ht="12.75">
      <c r="A4" t="s">
        <v>0</v>
      </c>
      <c r="B4" s="1">
        <v>6</v>
      </c>
      <c r="C4" s="6" t="s">
        <v>1</v>
      </c>
      <c r="D4" t="s">
        <v>26</v>
      </c>
      <c r="E4" s="1">
        <v>40</v>
      </c>
      <c r="F4" s="6" t="s">
        <v>27</v>
      </c>
      <c r="G4" t="s">
        <v>46</v>
      </c>
      <c r="H4">
        <f>3.1415926/180</f>
        <v>0.017453292222222222</v>
      </c>
    </row>
    <row r="5" spans="1:9" ht="12.75">
      <c r="A5" t="s">
        <v>2</v>
      </c>
      <c r="B5" s="1">
        <v>0</v>
      </c>
      <c r="C5" s="6" t="s">
        <v>3</v>
      </c>
      <c r="D5" t="s">
        <v>32</v>
      </c>
      <c r="E5" s="1">
        <v>0.25</v>
      </c>
      <c r="F5" s="6" t="s">
        <v>1</v>
      </c>
      <c r="G5" t="s">
        <v>67</v>
      </c>
      <c r="H5" s="1">
        <v>0</v>
      </c>
      <c r="I5" s="2"/>
    </row>
    <row r="6" spans="1:8" ht="12.75">
      <c r="A6" t="s">
        <v>4</v>
      </c>
      <c r="B6" s="1">
        <v>35</v>
      </c>
      <c r="C6" s="6" t="s">
        <v>5</v>
      </c>
      <c r="D6" t="s">
        <v>40</v>
      </c>
      <c r="E6" s="1">
        <v>280</v>
      </c>
      <c r="F6" s="6" t="s">
        <v>27</v>
      </c>
      <c r="G6" t="s">
        <v>68</v>
      </c>
      <c r="H6">
        <f>$B$4+$B$14*TAN($H$4*$H$5)</f>
        <v>6</v>
      </c>
    </row>
    <row r="7" spans="1:6" ht="12.75">
      <c r="A7" t="s">
        <v>6</v>
      </c>
      <c r="B7" s="1">
        <v>30</v>
      </c>
      <c r="C7" s="6" t="s">
        <v>5</v>
      </c>
      <c r="D7" t="s">
        <v>41</v>
      </c>
      <c r="E7" s="1">
        <v>25</v>
      </c>
      <c r="F7" s="6" t="s">
        <v>27</v>
      </c>
    </row>
    <row r="8" spans="1:6" ht="12.75">
      <c r="A8" t="s">
        <v>14</v>
      </c>
      <c r="B8" s="1">
        <v>18</v>
      </c>
      <c r="C8" s="6" t="s">
        <v>15</v>
      </c>
      <c r="D8" t="s">
        <v>42</v>
      </c>
      <c r="E8" s="1">
        <v>1</v>
      </c>
      <c r="F8" s="6" t="s">
        <v>1</v>
      </c>
    </row>
    <row r="9" spans="1:6" ht="12.75">
      <c r="A9" t="s">
        <v>16</v>
      </c>
      <c r="B9" s="1">
        <v>20</v>
      </c>
      <c r="C9" s="6" t="s">
        <v>15</v>
      </c>
      <c r="D9" t="s">
        <v>43</v>
      </c>
      <c r="E9" s="1">
        <v>1</v>
      </c>
      <c r="F9" s="6" t="s">
        <v>1</v>
      </c>
    </row>
    <row r="10" spans="1:6" ht="12.75">
      <c r="A10" t="s">
        <v>39</v>
      </c>
      <c r="B10" s="1">
        <v>0.8</v>
      </c>
      <c r="C10" s="6"/>
      <c r="D10" t="s">
        <v>70</v>
      </c>
      <c r="E10">
        <f>MAX($E$6-($B$12+$B$13)*(($E$8+$E$9)),0)</f>
        <v>200</v>
      </c>
      <c r="F10" s="6" t="s">
        <v>27</v>
      </c>
    </row>
    <row r="11" spans="1:6" ht="12.75">
      <c r="A11" t="s">
        <v>7</v>
      </c>
      <c r="B11" s="1">
        <v>400</v>
      </c>
      <c r="C11" s="6" t="s">
        <v>3</v>
      </c>
      <c r="D11" t="s">
        <v>45</v>
      </c>
      <c r="E11">
        <f>MIN($B$4,($E$8+$E$9)*TAN($H$4*(45+$B$6/2)))</f>
        <v>3.841964079396944</v>
      </c>
      <c r="F11" s="6" t="s">
        <v>1</v>
      </c>
    </row>
    <row r="12" spans="1:3" ht="12.75">
      <c r="A12" t="s">
        <v>9</v>
      </c>
      <c r="B12" s="1">
        <v>15</v>
      </c>
      <c r="C12" s="6" t="s">
        <v>3</v>
      </c>
    </row>
    <row r="13" spans="1:6" ht="12.75">
      <c r="A13" t="s">
        <v>8</v>
      </c>
      <c r="B13" s="1">
        <v>25</v>
      </c>
      <c r="C13" s="6" t="s">
        <v>3</v>
      </c>
      <c r="D13" t="s">
        <v>52</v>
      </c>
      <c r="F13">
        <v>0.06</v>
      </c>
    </row>
    <row r="14" spans="1:6" ht="12.75">
      <c r="A14" t="s">
        <v>10</v>
      </c>
      <c r="B14" s="1">
        <v>6</v>
      </c>
      <c r="C14" s="6" t="s">
        <v>1</v>
      </c>
      <c r="D14" t="s">
        <v>53</v>
      </c>
      <c r="F14">
        <f>(1.45-$F$13)*$F$13</f>
        <v>0.08339999999999999</v>
      </c>
    </row>
    <row r="15" spans="2:3" ht="12.75">
      <c r="B15" s="6"/>
      <c r="C15" s="6"/>
    </row>
    <row r="16" spans="1:3" ht="19.5">
      <c r="A16" s="5" t="s">
        <v>75</v>
      </c>
      <c r="B16" s="6"/>
      <c r="C16" s="6"/>
    </row>
    <row r="17" spans="2:3" ht="12.75">
      <c r="B17" s="6"/>
      <c r="C17" s="6"/>
    </row>
    <row r="18" spans="1:2" ht="12.75">
      <c r="A18" t="s">
        <v>64</v>
      </c>
      <c r="B18">
        <f>1-SIN($H$4*$B$6)</f>
        <v>0.42642357218471283</v>
      </c>
    </row>
    <row r="19" spans="1:7" ht="12.75">
      <c r="A19" t="s">
        <v>11</v>
      </c>
      <c r="B19">
        <f>(COS($H$4*$H$5)-SQRT(COS($H$4*$H$5)^2-COS($H$4*$B$7)^2))/(COS($H$4*$H$5)+SQRT(COS($H$4*$H$5)^2-COS($H$4*$B$7)^2))*COS($H$4*$H$5)</f>
        <v>0.33333334020890704</v>
      </c>
      <c r="D19" t="s">
        <v>54</v>
      </c>
      <c r="E19">
        <f>0.5*$F$14*$B$9*$H$6^2</f>
        <v>30.023999999999994</v>
      </c>
      <c r="F19" t="s">
        <v>62</v>
      </c>
      <c r="G19">
        <f>(0.5*$B$4*$B$4/TAN($H$4*(45+$B$6/2))+0.5*$B$14*$B$14*TAN($H$4*$H$5))*$B$9+($B$12+$B$13)*$B$4/TAN($H$4*(45+$B$6/2))+$E$10</f>
        <v>512.3402445210677</v>
      </c>
    </row>
    <row r="20" spans="1:7" ht="12.75">
      <c r="A20" t="s">
        <v>12</v>
      </c>
      <c r="B20">
        <f>(COS($H$4*$H$5)-SQRT(COS($H$4*$H$5)^2-COS($H$4*$B$6)^2))/(COS($H$4*$H$5)+SQRT(COS($H$4*$H$5)^2-COS($H$4*$B$6)^2))*COS($H$4*$H$5)</f>
        <v>0.2709900610145441</v>
      </c>
      <c r="D20" t="s">
        <v>55</v>
      </c>
      <c r="E20">
        <f>0.375*$F$14*$B$8*$H$6^2</f>
        <v>20.266199999999998</v>
      </c>
      <c r="F20" t="s">
        <v>63</v>
      </c>
      <c r="G20">
        <f>$F$14*$G$19</f>
        <v>42.72917639305704</v>
      </c>
    </row>
    <row r="21" spans="1:5" ht="12.75">
      <c r="A21" t="s">
        <v>13</v>
      </c>
      <c r="B21">
        <f>0.5*B19*B8*$H$6*$H$6</f>
        <v>108.00000222768588</v>
      </c>
      <c r="D21" t="s">
        <v>56</v>
      </c>
      <c r="E21">
        <f>$E$19+0.5*$E$20</f>
        <v>40.15709999999999</v>
      </c>
    </row>
    <row r="22" spans="1:4" ht="12.75">
      <c r="A22" t="s">
        <v>17</v>
      </c>
      <c r="B22">
        <f>B19*(B12+B13)*$H$6</f>
        <v>80.00000165013768</v>
      </c>
      <c r="C22" t="s">
        <v>18</v>
      </c>
      <c r="D22">
        <f>B21+B22+$E$7+$E$21</f>
        <v>253.15710387782354</v>
      </c>
    </row>
    <row r="23" spans="1:4" ht="12.75">
      <c r="A23" t="s">
        <v>19</v>
      </c>
      <c r="B23">
        <f>B21*$H$6/3</f>
        <v>216.0000044553718</v>
      </c>
      <c r="C23" t="s">
        <v>57</v>
      </c>
      <c r="D23">
        <f>$E$19*0.5*$H$6+0.5*$E$20*0.6*$H$6</f>
        <v>126.55115999999997</v>
      </c>
    </row>
    <row r="24" spans="1:8" ht="12.75">
      <c r="A24" t="s">
        <v>20</v>
      </c>
      <c r="B24">
        <f>B22*$H$6/2</f>
        <v>240.00000495041303</v>
      </c>
      <c r="C24" t="s">
        <v>21</v>
      </c>
      <c r="D24">
        <f>B23+B24+$E$7*$H$6+$D$23</f>
        <v>732.5511694057848</v>
      </c>
      <c r="F24" t="s">
        <v>73</v>
      </c>
      <c r="H24">
        <f>(0.5*($E$8+$E$9)^2/TAN($H$4*(45-$B$6/2))*$B$9+($B$12+$B$13)*($E$8+$E$9)+$E$10)/TAN($H$4*(45+$B$6/2))+$E$7</f>
        <v>210.75878339334062</v>
      </c>
    </row>
    <row r="26" ht="19.5">
      <c r="A26" s="5" t="s">
        <v>76</v>
      </c>
    </row>
    <row r="28" spans="1:4" ht="12.75">
      <c r="A28" t="s">
        <v>22</v>
      </c>
      <c r="B28">
        <f>($B$9*$B$4*$B$14+$B$14*$B$12+$B$9*0.5*$B$14^2*TAN($H$4*$H$5)+$E$10)*TAN(2/3*3.1415*B6/180)/D22</f>
        <v>1.7208961484821719</v>
      </c>
      <c r="C28" t="str">
        <f>IF($F$13=0,IF($B$28&gt;1.5,"OK","NOT OK"),IF($B$28&gt;1.125,"OK","NOT OK"))</f>
        <v>OK</v>
      </c>
      <c r="D28" t="s">
        <v>58</v>
      </c>
    </row>
    <row r="29" spans="1:3" ht="12.75">
      <c r="A29" t="s">
        <v>23</v>
      </c>
      <c r="B29">
        <f>((B9*B4*B14+B12*B14)*B14/2+$E$10*($E$9+$E$8/2))/D24</f>
        <v>3.7267021254152977</v>
      </c>
      <c r="C29" t="str">
        <f>IF($B$29&gt;2,"OK","NOT OK")</f>
        <v>OK</v>
      </c>
    </row>
    <row r="30" spans="1:6" ht="12.75">
      <c r="A30" t="s">
        <v>24</v>
      </c>
      <c r="B30">
        <f>D24/($B$4*$B$9*$B$14+0.5*$B$9*$B$14^2*TAN($H$4*$H$5)+($B$12+$B$13)*$B$14+$E$10)</f>
        <v>0.6315096287980904</v>
      </c>
      <c r="C30" t="str">
        <f>IF($B$30&lt;$B$14/6,"OK","NOTOK")</f>
        <v>OK</v>
      </c>
      <c r="D30" t="s">
        <v>25</v>
      </c>
      <c r="E30">
        <f>((B4*B9+B12+B13)*B14+0.5*$B$9*$B$14^2*TAN($H$4*$H$5)+$E$10)/(B14-2*B30)</f>
        <v>244.88172172964093</v>
      </c>
      <c r="F30" t="str">
        <f>IF($E$30&lt;$B$11,"OK","NOT OK")</f>
        <v>OK</v>
      </c>
    </row>
    <row r="33" spans="1:6" ht="19.5">
      <c r="A33" s="7" t="s">
        <v>77</v>
      </c>
      <c r="B33" s="4"/>
      <c r="C33" s="4"/>
      <c r="D33" s="4"/>
      <c r="E33" s="4"/>
      <c r="F33" s="4"/>
    </row>
    <row r="34" spans="1:6" ht="12.75">
      <c r="A34" s="4"/>
      <c r="B34" s="4"/>
      <c r="C34" s="4"/>
      <c r="D34" s="4"/>
      <c r="E34" s="4"/>
      <c r="F34" s="4"/>
    </row>
    <row r="35" spans="1:8" ht="12.75">
      <c r="A35" t="s">
        <v>28</v>
      </c>
      <c r="B35" t="s">
        <v>71</v>
      </c>
      <c r="C35" t="s">
        <v>44</v>
      </c>
      <c r="D35" t="s">
        <v>31</v>
      </c>
      <c r="E35" t="s">
        <v>30</v>
      </c>
      <c r="F35" t="s">
        <v>29</v>
      </c>
      <c r="G35" t="s">
        <v>72</v>
      </c>
      <c r="H35" t="s">
        <v>59</v>
      </c>
    </row>
    <row r="36" spans="1:8" ht="12.75">
      <c r="A36">
        <v>1</v>
      </c>
      <c r="B36">
        <f>A36+$B$14*TAN($H$4*$H$5)</f>
        <v>1</v>
      </c>
      <c r="C36">
        <f>(A36*$B$9+$B$12+$B$13)*$B$14+0.5*$B$14*$B$14*TAN($H$4*$H$5)*$B$9+$E$10</f>
        <v>560</v>
      </c>
      <c r="D36">
        <f>$B$19*$B$8*B36*B36*B36/6+$B$19*($B$12+$B$13)*B36*B36/2+$E$7*B36</f>
        <v>32.666666824804864</v>
      </c>
      <c r="E36">
        <f aca="true" t="shared" si="0" ref="E36:E43">D36/C36</f>
        <v>0.058333333615722974</v>
      </c>
      <c r="F36">
        <f>C36/($B$14-2*E36)</f>
        <v>95.18413598647444</v>
      </c>
      <c r="G36">
        <f>IF($E$11&lt;A36,0,2*$E$7/$E$11*(1-A36/$E$11))*A36/2</f>
        <v>4.813400435378487</v>
      </c>
      <c r="H36">
        <f>$E$4/(F36*$B$20+G36)</f>
        <v>1.3068754117463937</v>
      </c>
    </row>
    <row r="37" spans="1:8" ht="12.75">
      <c r="A37">
        <v>2</v>
      </c>
      <c r="B37">
        <f>A37+$B$14*TAN($H$4*$H$5)</f>
        <v>2</v>
      </c>
      <c r="C37">
        <f>(A37*$B$9+$B$12+$B$13)*$B$14+0.5*$B$14*$B$14*TAN($H$4*$H$5)*$B$9+$E$10</f>
        <v>680</v>
      </c>
      <c r="D37">
        <f>$B$19*$B$8*B37*B37*B37/6+$B$19*($B$12+$B$13)*B37*B37/2+$E$7*B37</f>
        <v>84.66666738172633</v>
      </c>
      <c r="E37">
        <f t="shared" si="0"/>
        <v>0.12450980497312696</v>
      </c>
      <c r="F37">
        <f>C37/($B$14-2*E37)</f>
        <v>118.24070921473704</v>
      </c>
      <c r="G37">
        <f>IF($E$11&lt;A37,0,2*$E$7/$E$11*(1-A37/$E$11))*((A37-A36)/2+(A38-A37)/2)</f>
        <v>4.679568664852097</v>
      </c>
      <c r="H37">
        <f>$E$4/(F37*$B$20+G37)</f>
        <v>1.0892763942468666</v>
      </c>
    </row>
    <row r="38" spans="1:8" ht="12.75">
      <c r="A38">
        <v>2.5</v>
      </c>
      <c r="B38">
        <f>A38+$B$14*TAN($H$4*$H$5)</f>
        <v>2.5</v>
      </c>
      <c r="C38">
        <f>(A38*$B$9+$B$12+$B$13)*$B$14+0.5*$B$14*$B$14*TAN($H$4*$H$5)*$B$9+$E$10</f>
        <v>740</v>
      </c>
      <c r="D38">
        <f>$B$19*$B$8*B38*B38*B38/6+$B$19*($B$12+$B$13)*B38*B38/2+$E$7*B38</f>
        <v>119.7916678484059</v>
      </c>
      <c r="E38">
        <f t="shared" si="0"/>
        <v>0.16188063222757554</v>
      </c>
      <c r="F38">
        <f>C38/($B$14-2*E38)</f>
        <v>130.3680191190847</v>
      </c>
      <c r="G38">
        <f>IF($E$11&lt;A38,0,2*$E$7/$E$11*(1-A38/$E$11))*((A38-A37)/2+(A39-A38)/2)</f>
        <v>2.2728684471628537</v>
      </c>
      <c r="H38">
        <f>$E$4/(F38*$B$20+G38)</f>
        <v>1.0637928401642556</v>
      </c>
    </row>
    <row r="39" spans="1:8" ht="12.75">
      <c r="A39">
        <v>3</v>
      </c>
      <c r="B39">
        <f>A39+$B$14*TAN($H$4*$H$5)</f>
        <v>3</v>
      </c>
      <c r="C39">
        <f>(A39*$B$9+$B$12+$B$13)*$B$14+0.5*$B$14*$B$14*TAN($H$4*$H$5)*$B$9+$E$10</f>
        <v>800</v>
      </c>
      <c r="D39">
        <f>$B$19*$B$8*B39*B39*B39/6+$B$19*($B$12+$B$13)*B39*B39/2+$E$7*B39</f>
        <v>162.00000179452474</v>
      </c>
      <c r="E39">
        <f t="shared" si="0"/>
        <v>0.20250000224315592</v>
      </c>
      <c r="F39">
        <f>C39/($B$14-2*E39)</f>
        <v>142.9848079788158</v>
      </c>
      <c r="G39">
        <f>IF($E$11&lt;A39,0,2*$E$7/$E$11*(1-A39/$E$11))*((A39-A38)/2+(A40-A39)/2)</f>
        <v>2.1390366766364632</v>
      </c>
      <c r="H39">
        <f>$E$4/(F39*$B$20+G39)</f>
        <v>0.9783180622658583</v>
      </c>
    </row>
    <row r="40" spans="1:8" ht="12.75">
      <c r="A40">
        <v>4</v>
      </c>
      <c r="B40">
        <f>A40+$B$14*TAN($H$4*$H$5)</f>
        <v>4</v>
      </c>
      <c r="C40">
        <f>(A40*$B$9+$B$12+$B$13)*$B$14+0.5*$B$14*$B$14*TAN($H$4*$H$5)*$B$9+$E$10</f>
        <v>920</v>
      </c>
      <c r="D40">
        <f>$B$19*$B$8*B40*B40*B40/6+$B$19*($B$12+$B$13)*B40*B40/2+$E$7*B40</f>
        <v>270.6666701869604</v>
      </c>
      <c r="E40">
        <f t="shared" si="0"/>
        <v>0.29420290237713087</v>
      </c>
      <c r="F40">
        <f>C40/($B$14-2*E40)</f>
        <v>170.00535642680856</v>
      </c>
      <c r="G40">
        <f>IF($E$11&lt;A40,0,2*$E$7/$E$11*(1-A40/$E$11))*((A40-A39)/2+(A41-A40)/2)</f>
        <v>0</v>
      </c>
      <c r="H40">
        <f>$E$4/(F40*$B$20+G40)</f>
        <v>0.8682484636530311</v>
      </c>
    </row>
    <row r="41" spans="1:8" ht="12.75">
      <c r="A41">
        <v>5</v>
      </c>
      <c r="B41">
        <f>A41+$B$14*TAN($H$4*$H$5)</f>
        <v>5</v>
      </c>
      <c r="C41">
        <f>(A41*$B$9+$B$12+$B$13)*$B$14+0.5*$B$14*$B$14*TAN($H$4*$H$5)*$B$9+$E$10</f>
        <v>1040</v>
      </c>
      <c r="D41">
        <f>$B$19*$B$8*B41*B41*B41/6+$B$19*($B$12+$B$13)*B41*B41/2+$E$7*B41</f>
        <v>416.66667268279366</v>
      </c>
      <c r="E41">
        <f t="shared" si="0"/>
        <v>0.40064103142576313</v>
      </c>
      <c r="F41">
        <f>C41/($B$14-2*E41)</f>
        <v>200.04932227010684</v>
      </c>
      <c r="G41">
        <f>IF($E$11&lt;A41,0,2*$E$7/$E$11*(1-A41/$E$11))*((A41-A40)/2+(A42-A41)/2)</f>
        <v>0</v>
      </c>
      <c r="H41">
        <f>$E$4/(F41*$B$20+G41)</f>
        <v>0.7378524848540275</v>
      </c>
    </row>
    <row r="42" spans="1:8" ht="12.75">
      <c r="A42">
        <v>5.5</v>
      </c>
      <c r="B42">
        <f>A42+$B$14*TAN($H$4*$H$5)</f>
        <v>5.5</v>
      </c>
      <c r="C42">
        <f>(A42*$B$9+$B$12+$B$13)*$B$14+0.5*$B$14*$B$14*TAN($H$4*$H$5)*$B$9+$E$10</f>
        <v>1100</v>
      </c>
      <c r="D42">
        <f>$B$19*$B$8*B42*B42*B42/6+$B$19*($B$12+$B$13)*B42*B42/2+$E$7*B42</f>
        <v>505.54167425815945</v>
      </c>
      <c r="E42">
        <f t="shared" si="0"/>
        <v>0.4595833402346904</v>
      </c>
      <c r="F42">
        <f>C42/($B$14-2*E42)</f>
        <v>216.4999185806042</v>
      </c>
      <c r="G42">
        <f>IF($E$11&lt;A42,0,2*$E$7/$E$11*(1-A42/$E$11))*((A42-A41)/2+(A43-A42)/2)</f>
        <v>0</v>
      </c>
      <c r="H42">
        <f>$E$4/(F42*$B$20+G42)</f>
        <v>0.6817872750164918</v>
      </c>
    </row>
    <row r="43" spans="1:8" ht="12.75">
      <c r="A43">
        <v>6</v>
      </c>
      <c r="B43">
        <f>A43+$B$14*TAN($H$4*$H$5)</f>
        <v>6</v>
      </c>
      <c r="C43">
        <f>(A43*$B$9+$B$12+$B$13)*$B$14+0.5*$B$14*$B$14*TAN($H$4*$H$5)*$B$9+$E$10</f>
        <v>1160</v>
      </c>
      <c r="D43">
        <f>$B$19*$B$8*B43*B43*B43/6+$B$19*($B$12+$B$13)*B43*B43/2+$E$7*B43</f>
        <v>606.0000094057848</v>
      </c>
      <c r="E43">
        <f t="shared" si="0"/>
        <v>0.5224138012118834</v>
      </c>
      <c r="F43">
        <f>C43/($B$14-2*E43)</f>
        <v>234.09881774595792</v>
      </c>
      <c r="G43">
        <f>IF($E$11&lt;A43,0,2*$E$7/$E$11*(1-A43/$E$11))*((A43-A42)/2+(A44-A43)/2)</f>
        <v>0</v>
      </c>
      <c r="H43">
        <f>$E$4/(F43*$B$20+G43)</f>
        <v>0.630532400597359</v>
      </c>
    </row>
    <row r="54" ht="12.75">
      <c r="A54" t="s">
        <v>49</v>
      </c>
    </row>
    <row r="55" ht="12.75">
      <c r="A55" t="s">
        <v>79</v>
      </c>
    </row>
    <row r="56" ht="12.75">
      <c r="A56" t="s">
        <v>78</v>
      </c>
    </row>
    <row r="58" spans="1:4" ht="12.75">
      <c r="A58" s="4" t="s">
        <v>74</v>
      </c>
      <c r="B58" s="4"/>
      <c r="C58" s="4"/>
      <c r="D58" s="4"/>
    </row>
    <row r="59" spans="1:4" ht="12.75">
      <c r="A59" s="4"/>
      <c r="B59" s="4"/>
      <c r="C59" s="4"/>
      <c r="D59" s="4"/>
    </row>
    <row r="60" spans="1:18" ht="12.75">
      <c r="A60" t="s">
        <v>33</v>
      </c>
      <c r="B60" t="s">
        <v>69</v>
      </c>
      <c r="C60" t="s">
        <v>50</v>
      </c>
      <c r="D60" t="s">
        <v>31</v>
      </c>
      <c r="E60" t="s">
        <v>30</v>
      </c>
      <c r="F60" t="s">
        <v>29</v>
      </c>
      <c r="G60" t="s">
        <v>65</v>
      </c>
      <c r="H60" t="s">
        <v>35</v>
      </c>
      <c r="I60" t="s">
        <v>47</v>
      </c>
      <c r="J60" t="s">
        <v>51</v>
      </c>
      <c r="K60" t="s">
        <v>60</v>
      </c>
      <c r="L60" t="s">
        <v>48</v>
      </c>
      <c r="M60" t="s">
        <v>66</v>
      </c>
      <c r="N60" t="s">
        <v>36</v>
      </c>
      <c r="O60" t="s">
        <v>34</v>
      </c>
      <c r="P60" t="s">
        <v>37</v>
      </c>
      <c r="Q60" t="s">
        <v>38</v>
      </c>
      <c r="R60" t="s">
        <v>61</v>
      </c>
    </row>
    <row r="61" spans="1:15" ht="12.75">
      <c r="A61">
        <v>0</v>
      </c>
      <c r="B61">
        <v>0</v>
      </c>
      <c r="C61" t="s">
        <v>58</v>
      </c>
      <c r="D61" t="s">
        <v>58</v>
      </c>
      <c r="E61" t="s">
        <v>58</v>
      </c>
      <c r="F61" t="s">
        <v>58</v>
      </c>
      <c r="G61" t="s">
        <v>58</v>
      </c>
      <c r="L61" s="3"/>
      <c r="O61" s="3"/>
    </row>
    <row r="62" spans="1:18" ht="12.75">
      <c r="A62">
        <v>0.25</v>
      </c>
      <c r="B62">
        <f>A62+$B$14*TAN($H$4*$H$5)</f>
        <v>0.25</v>
      </c>
      <c r="C62">
        <f>((A62+B62)/2*$B$9+$B$12+$B$13)</f>
        <v>45</v>
      </c>
      <c r="D62">
        <f>$B$19*$B$8*B62*B62*B62/6+$B$19*($B$12+$B$13)*B62*B62/2+$E$7*B62</f>
        <v>6.682291675583427</v>
      </c>
      <c r="E62">
        <f>D62/($B$9*A62*$B$14+($B$12+$B$13)*$B$14+$E$10)</f>
        <v>0.014217641862943461</v>
      </c>
      <c r="F62">
        <f>C62*$B$14/($B$14-2*E62)</f>
        <v>45.214280147408886</v>
      </c>
      <c r="G62">
        <f>IF($B$4&lt;=6,$B$20,IF(A62&gt;6,$B$20,$B$20+((6-A62)/6)*($B$18-$B$20)))</f>
        <v>0.2709900610145441</v>
      </c>
      <c r="H62">
        <f>G62*F62*(A62+(A63-A62)/2)</f>
        <v>6.126310267937511</v>
      </c>
      <c r="I62">
        <f>IF($E$11&lt;A62,0,2*$E$7/$E$11*(1-A62/$E$11))*(A62+(A63-A62)/2)</f>
        <v>6.083666429486303</v>
      </c>
      <c r="J62">
        <f>G62*$E$10/(MIN(A62/2,$E$9)+$E$8+A62/2)*(A62+(A63-A62)/2)</f>
        <v>21.67920488116353</v>
      </c>
      <c r="K62">
        <f>$G$20*O62/$O$71</f>
        <v>3.2163348405595538</v>
      </c>
      <c r="L62" s="3">
        <f aca="true" t="shared" si="1" ref="L62:L70">H62+I62+J62+K62</f>
        <v>37.105516419146895</v>
      </c>
      <c r="M62">
        <f>$E$4</f>
        <v>40</v>
      </c>
      <c r="N62">
        <f aca="true" t="shared" si="2" ref="N62:N70">M62/L62</f>
        <v>1.0780068264825313</v>
      </c>
      <c r="O62" s="3">
        <f>IF($B$4&lt;=6,$B$14-($B$4-A62)/TAN($H$4*(45+$B$6/2)),IF(($B$4-A62)&lt;0.4*$B$4,$B$14-($B$4-A62)/2,$B$14-0.2*$B$4-(0.6*$B$4-A62)/6))</f>
        <v>3.0067393233397683</v>
      </c>
      <c r="P62">
        <f>2*(C62-$B$13)*O62*$B$10*TAN(3.1415/180*$B$6)</f>
        <v>67.36834600288415</v>
      </c>
      <c r="Q62">
        <f aca="true" t="shared" si="3" ref="Q62:Q70">P62/L62</f>
        <v>1.8155884219986567</v>
      </c>
      <c r="R62">
        <f>MIN($E$4,P62)</f>
        <v>40</v>
      </c>
    </row>
    <row r="63" spans="1:18" ht="12.75">
      <c r="A63">
        <v>0.75</v>
      </c>
      <c r="B63">
        <f>A63+$B$14*TAN($H$4*$H$5)</f>
        <v>0.75</v>
      </c>
      <c r="C63">
        <f>((A63+B63)/2*$B$9+$B$12+$B$13)</f>
        <v>55</v>
      </c>
      <c r="D63">
        <f>$B$19*$B$8*B63*B63*B63/6+$B$19*($B$12+$B$13)*B63*B63/2+$E$7*B63</f>
        <v>22.9218750860521</v>
      </c>
      <c r="E63">
        <f>D63/($B$9*A63*$B$14+($B$12+$B$13)*$B$14+$E$10)</f>
        <v>0.043248820917079434</v>
      </c>
      <c r="F63">
        <f>C63*$B$14/($B$14-2*E63)</f>
        <v>55.80449283905491</v>
      </c>
      <c r="G63">
        <f>IF($B$4&lt;=6,$B$20,IF(A63&gt;6,$B$20,$B$20+((6-A63)/6)*($B$18-$B$20)))</f>
        <v>0.2709900610145441</v>
      </c>
      <c r="H63">
        <f aca="true" t="shared" si="4" ref="H63:H69">G63*F63*((A63-A62)/2+(A64-A63)/2)</f>
        <v>9.451539324588236</v>
      </c>
      <c r="I63">
        <f>IF($E$11&lt;A63,0,2*$E$7/$E$11*(1-A63/$E$11))*((A63-A62)/2+(A64-A63)/2)</f>
        <v>6.546028041768031</v>
      </c>
      <c r="J63">
        <f>G63*$E$10/(MIN(A63/2,$E$9)+$E$8+A63/2)*((A63-A62)/2+(A64-A63)/2)</f>
        <v>19.356432929610293</v>
      </c>
      <c r="K63">
        <f>$G$20*O63/$O$71</f>
        <v>3.494762372438767</v>
      </c>
      <c r="L63" s="3">
        <f t="shared" si="1"/>
        <v>38.84876266840532</v>
      </c>
      <c r="M63">
        <f>$E$4</f>
        <v>40</v>
      </c>
      <c r="N63">
        <f t="shared" si="2"/>
        <v>1.029633822354166</v>
      </c>
      <c r="O63" s="3">
        <f>IF($B$4&lt;=6,$B$14-($B$4-A63)/TAN($H$4*(45+$B$6/2)),IF(($B$4-A63)&lt;0.4*$B$4,$B$14-($B$4-A63)/2,$B$14-0.2*$B$4-(0.6*$B$4-A63)/6))</f>
        <v>3.267022860440658</v>
      </c>
      <c r="P63">
        <f>2*(C63-$B$13)*O63*$B$10*TAN(3.1415/180*$B$6)</f>
        <v>109.80030331513416</v>
      </c>
      <c r="Q63">
        <f t="shared" si="3"/>
        <v>2.8263526499502096</v>
      </c>
      <c r="R63">
        <f>MIN($E$4,P63)</f>
        <v>40</v>
      </c>
    </row>
    <row r="64" spans="1:18" ht="12.75">
      <c r="A64">
        <v>1.5</v>
      </c>
      <c r="B64">
        <f>A64+$B$14*TAN($H$4*$H$5)</f>
        <v>1.5</v>
      </c>
      <c r="C64">
        <f>((A64+B64)/2*$B$9+$B$12+$B$13)</f>
        <v>70</v>
      </c>
      <c r="D64">
        <f>$B$19*$B$8*B64*B64*B64/6+$B$19*($B$12+$B$13)*B64*B64/2+$E$7*B64</f>
        <v>55.875000379016</v>
      </c>
      <c r="E64">
        <f>D64/($B$9*A64*$B$14+($B$12+$B$13)*$B$14+$E$10)</f>
        <v>0.09012096835325162</v>
      </c>
      <c r="F64">
        <f>C64*$B$14/($B$14-2*E64)</f>
        <v>72.16794846662665</v>
      </c>
      <c r="G64">
        <f>IF($B$4&lt;=6,$B$20,IF(A64&gt;6,$B$20,$B$20+((6-A64)/6)*($B$18-$B$20)))</f>
        <v>0.2709900610145441</v>
      </c>
      <c r="H64">
        <f t="shared" si="4"/>
        <v>14.667597568699222</v>
      </c>
      <c r="I64">
        <f>IF($E$11&lt;A64,0,2*$E$7/$E$11*(1-A64/$E$11))*((A64-A63)/2+(A65-A64)/2)</f>
        <v>5.949834658959913</v>
      </c>
      <c r="J64">
        <f>G64*$E$10/(MIN(A64/2,$E$9)+$E$8+A64/2)*((A64-A63)/2+(A65-A64)/2)</f>
        <v>16.259403660872646</v>
      </c>
      <c r="K64">
        <f>$G$20*O64/$O$71</f>
        <v>3.912403670257587</v>
      </c>
      <c r="L64" s="3">
        <f t="shared" si="1"/>
        <v>40.789239558789376</v>
      </c>
      <c r="M64">
        <f>$E$4</f>
        <v>40</v>
      </c>
      <c r="N64">
        <f t="shared" si="2"/>
        <v>0.9806507900778133</v>
      </c>
      <c r="O64" s="3">
        <f>IF($B$4&lt;=6,$B$14-($B$4-A64)/TAN($H$4*(45+$B$6/2)),IF(($B$4-A64)&lt;0.4*$B$4,$B$14-($B$4-A64)/2,$B$14-0.2*$B$4-(0.6*$B$4-A64)/6))</f>
        <v>3.6574481660919926</v>
      </c>
      <c r="P64">
        <f>2*(C64-$B$13)*O64*$B$10*TAN(3.1415/180*$B$6)</f>
        <v>184.3829696720191</v>
      </c>
      <c r="Q64">
        <f t="shared" si="3"/>
        <v>4.520382622143976</v>
      </c>
      <c r="R64">
        <f>MIN($E$4,P64)</f>
        <v>40</v>
      </c>
    </row>
    <row r="65" spans="1:18" ht="12.75">
      <c r="A65">
        <v>2.25</v>
      </c>
      <c r="B65">
        <f>A65+$B$14*TAN($H$4*$H$5)</f>
        <v>2.25</v>
      </c>
      <c r="C65">
        <f>((A65+B65)/2*$B$9+$B$12+$B$13)</f>
        <v>85</v>
      </c>
      <c r="D65">
        <f>$B$19*$B$8*B65*B65*B65/6+$B$19*($B$12+$B$13)*B65*B65/2+$E$7*B65</f>
        <v>101.39062593110307</v>
      </c>
      <c r="E65">
        <f>D65/($B$9*A65*$B$14+($B$12+$B$13)*$B$14+$E$10)</f>
        <v>0.14280369849451138</v>
      </c>
      <c r="F65">
        <f>C65*$B$14/($B$14-2*E65)</f>
        <v>89.24833056295</v>
      </c>
      <c r="G65">
        <f>IF($B$4&lt;=6,$B$20,IF(A65&gt;6,$B$20,$B$20+((6-A65)/6)*($B$18-$B$20)))</f>
        <v>0.2709900610145441</v>
      </c>
      <c r="H65">
        <f t="shared" si="4"/>
        <v>18.139057908525018</v>
      </c>
      <c r="I65">
        <f>IF($E$11&lt;A65,0,2*$E$7/$E$11*(1-A65/$E$11))*((A65-A64)/2+(A66-A65)/2)</f>
        <v>4.044435667798188</v>
      </c>
      <c r="J65">
        <f>G65*$E$10/(MIN(A65/2,$E$9)+$E$8+A65/2)*((A65-A64)/2+(A66-A65)/2)</f>
        <v>13.007522928698116</v>
      </c>
      <c r="K65">
        <f>$G$20*O65/$O$71</f>
        <v>4.330044968076407</v>
      </c>
      <c r="L65" s="3">
        <f t="shared" si="1"/>
        <v>39.52106147309773</v>
      </c>
      <c r="M65">
        <f>$E$4</f>
        <v>40</v>
      </c>
      <c r="N65">
        <f t="shared" si="2"/>
        <v>1.0121185643565846</v>
      </c>
      <c r="O65" s="3">
        <f>IF($B$4&lt;=6,$B$14-($B$4-A65)/TAN($H$4*(45+$B$6/2)),IF(($B$4-A65)&lt;0.4*$B$4,$B$14-($B$4-A65)/2,$B$14-0.2*$B$4-(0.6*$B$4-A65)/6))</f>
        <v>4.047873471743327</v>
      </c>
      <c r="P65">
        <f>2*(C65-$B$13)*O65*$B$10*TAN(3.1415/180*$B$6)</f>
        <v>272.08731249511595</v>
      </c>
      <c r="Q65">
        <f t="shared" si="3"/>
        <v>6.884615502554953</v>
      </c>
      <c r="R65">
        <f>MIN($E$4,P65)</f>
        <v>40</v>
      </c>
    </row>
    <row r="66" spans="1:18" ht="12.75">
      <c r="A66">
        <v>3</v>
      </c>
      <c r="B66">
        <f>A66+$B$14*TAN($H$4*$H$5)</f>
        <v>3</v>
      </c>
      <c r="C66">
        <f>((A66+B66)/2*$B$9+$B$12+$B$13)</f>
        <v>100</v>
      </c>
      <c r="D66">
        <f>$B$19*$B$8*B66*B66*B66/6+$B$19*($B$12+$B$13)*B66*B66/2+$E$7*B66</f>
        <v>162.00000179452474</v>
      </c>
      <c r="E66">
        <f>D66/($B$9*A66*$B$14+($B$12+$B$13)*$B$14+$E$10)</f>
        <v>0.20250000224315592</v>
      </c>
      <c r="F66">
        <f>C66*$B$14/($B$14-2*E66)</f>
        <v>107.23860598411186</v>
      </c>
      <c r="G66">
        <f>IF($B$4&lt;=6,$B$20,IF(A66&gt;6,$B$20,$B$20+((6-A66)/6)*($B$18-$B$20)))</f>
        <v>0.2709900610145441</v>
      </c>
      <c r="H66">
        <f t="shared" si="4"/>
        <v>21.795447284061844</v>
      </c>
      <c r="I66">
        <f>IF($E$11&lt;A66,0,2*$E$7/$E$11*(1-A66/$E$11))*((A66-A65)/2+(A67-A66)/2)</f>
        <v>2.1390366766364632</v>
      </c>
      <c r="J66">
        <f>G66*$E$10/(MIN(A66/2,$E$9)+$E$8+A66/2)*((A66-A65)/2+(A67-A66)/2)</f>
        <v>11.613859757766175</v>
      </c>
      <c r="K66">
        <f>$G$20*O66/$O$71</f>
        <v>4.747686265895226</v>
      </c>
      <c r="L66" s="3">
        <f t="shared" si="1"/>
        <v>40.296029984359706</v>
      </c>
      <c r="M66">
        <f>$E$4</f>
        <v>40</v>
      </c>
      <c r="N66">
        <f t="shared" si="2"/>
        <v>0.9926536191164588</v>
      </c>
      <c r="O66" s="3">
        <f>IF($B$4&lt;=6,$B$14-($B$4-A66)/TAN($H$4*(45+$B$6/2)),IF(($B$4-A66)&lt;0.4*$B$4,$B$14-($B$4-A66)/2,$B$14-0.2*$B$4-(0.6*$B$4-A66)/6))</f>
        <v>4.438298777394662</v>
      </c>
      <c r="P66">
        <f>2*(C66-$B$13)*O66*$B$10*TAN(3.1415/180*$B$6)</f>
        <v>372.9133317844248</v>
      </c>
      <c r="Q66">
        <f t="shared" si="3"/>
        <v>9.25434421031465</v>
      </c>
      <c r="R66">
        <f>MIN($E$4,P66)</f>
        <v>40</v>
      </c>
    </row>
    <row r="67" spans="1:18" ht="12.75">
      <c r="A67">
        <v>3.75</v>
      </c>
      <c r="B67">
        <f>A67+$B$14*TAN($H$4*$H$5)</f>
        <v>3.75</v>
      </c>
      <c r="C67">
        <f>((A67+B67)/2*$B$9+$B$12+$B$13)</f>
        <v>115</v>
      </c>
      <c r="D67">
        <f>$B$19*$B$8*B67*B67*B67/6+$B$19*($B$12+$B$13)*B67*B67/2+$E$7*B67</f>
        <v>240.23437802149235</v>
      </c>
      <c r="E67">
        <f>D67/($B$9*A67*$B$14+($B$12+$B$13)*$B$14+$E$10)</f>
        <v>0.269926267439879</v>
      </c>
      <c r="F67">
        <f>C67*$B$14/($B$14-2*E67)</f>
        <v>126.37021333357065</v>
      </c>
      <c r="G67">
        <f>IF($B$4&lt;=6,$B$20,IF(A67&gt;6,$B$20,$B$20+((6-A67)/6)*($B$18-$B$20)))</f>
        <v>0.2709900610145441</v>
      </c>
      <c r="H67">
        <f t="shared" si="4"/>
        <v>25.68380386626395</v>
      </c>
      <c r="I67">
        <f>IF($E$11&lt;A67,0,2*$E$7/$E$11*(1-A67/$E$11))*((A67-A66)/2+(A68-A67)/2)</f>
        <v>0.23363768547473882</v>
      </c>
      <c r="J67">
        <f>G67*$E$10/(MIN(A67/2,$E$9)+$E$8+A67/2)*((A67-A66)/2+(A68-A67)/2)</f>
        <v>10.489937845724288</v>
      </c>
      <c r="K67">
        <f>$G$20*O67/$O$71</f>
        <v>5.165327563714045</v>
      </c>
      <c r="L67" s="3">
        <f t="shared" si="1"/>
        <v>41.57270696117702</v>
      </c>
      <c r="M67">
        <f>$E$4</f>
        <v>40</v>
      </c>
      <c r="N67">
        <f t="shared" si="2"/>
        <v>0.962169724414489</v>
      </c>
      <c r="O67" s="3">
        <f>IF($B$4&lt;=6,$B$14-($B$4-A67)/TAN($H$4*(45+$B$6/2)),IF(($B$4-A67)&lt;0.4*$B$4,$B$14-($B$4-A67)/2,$B$14-0.2*$B$4-(0.6*$B$4-A67)/6))</f>
        <v>4.828724083045996</v>
      </c>
      <c r="P67">
        <f>2*(C67-$B$13)*O67*$B$10*TAN(3.1415/180*$B$6)</f>
        <v>486.8610275399454</v>
      </c>
      <c r="Q67">
        <f t="shared" si="3"/>
        <v>11.711073517406604</v>
      </c>
      <c r="R67">
        <f>MIN($E$4,P67)</f>
        <v>40</v>
      </c>
    </row>
    <row r="68" spans="1:18" ht="12.75">
      <c r="A68">
        <v>4.5</v>
      </c>
      <c r="B68">
        <f>A68+$B$14*TAN($H$4*$H$5)</f>
        <v>4.5</v>
      </c>
      <c r="C68">
        <f>((A68+B68)/2*$B$9+$B$12+$B$13)</f>
        <v>130</v>
      </c>
      <c r="D68">
        <f>$B$19*$B$8*B68*B68*B68/6+$B$19*($B$12+$B$13)*B68*B68/2+$E$7*B68</f>
        <v>338.6250046642173</v>
      </c>
      <c r="E68">
        <f>D68/($B$9*A68*$B$14+($B$12+$B$13)*$B$14+$E$10)</f>
        <v>0.34553571904511965</v>
      </c>
      <c r="F68">
        <f>C68*$B$14/($B$14-2*E68)</f>
        <v>146.9223009697862</v>
      </c>
      <c r="G68">
        <f>IF($B$4&lt;=6,$B$20,IF(A68&gt;6,$B$20,$B$20+((6-A68)/6)*($B$18-$B$20)))</f>
        <v>0.2709900610145441</v>
      </c>
      <c r="H68">
        <f t="shared" si="4"/>
        <v>29.860862478149677</v>
      </c>
      <c r="I68">
        <f>IF($E$11&lt;A68,0,2*$E$7/$E$11*(1-A68/$E$11))*((A68-A67)/2+(A69-A68)/2)</f>
        <v>0</v>
      </c>
      <c r="J68">
        <f>G68*$E$10/(MIN(A68/2,$E$9)+$E$8+A68/2)*((A68-A67)/2+(A69-A68)/2)</f>
        <v>9.564355094630969</v>
      </c>
      <c r="K68">
        <f>$G$20*O68/$O$71</f>
        <v>5.582968861532865</v>
      </c>
      <c r="L68" s="3">
        <f t="shared" si="1"/>
        <v>45.00818643431351</v>
      </c>
      <c r="M68">
        <f>$E$4</f>
        <v>40</v>
      </c>
      <c r="N68">
        <f t="shared" si="2"/>
        <v>0.8887272109569971</v>
      </c>
      <c r="O68" s="3">
        <f>IF($B$4&lt;=6,$B$14-($B$4-A68)/TAN($H$4*(45+$B$6/2)),IF(($B$4-A68)&lt;0.4*$B$4,$B$14-($B$4-A68)/2,$B$14-0.2*$B$4-(0.6*$B$4-A68)/6))</f>
        <v>5.219149388697331</v>
      </c>
      <c r="P68">
        <f>2*(C68-$B$13)*O68*$B$10*TAN(3.1415/180*$B$6)</f>
        <v>613.930399761678</v>
      </c>
      <c r="Q68">
        <f t="shared" si="3"/>
        <v>13.64041629754776</v>
      </c>
      <c r="R68">
        <f>MIN($E$4,P68)</f>
        <v>40</v>
      </c>
    </row>
    <row r="69" spans="1:18" ht="12.75">
      <c r="A69">
        <v>5.25</v>
      </c>
      <c r="B69">
        <f>A69+$B$14*TAN($H$4*$H$5)</f>
        <v>5.25</v>
      </c>
      <c r="C69">
        <f>((A69+B69)/2*$B$9+$B$12+$B$13)</f>
        <v>145</v>
      </c>
      <c r="D69">
        <f>$B$19*$B$8*B69*B69*B69/6+$B$19*($B$12+$B$13)*B69*B69/2+$E$7*B69</f>
        <v>459.703131774911</v>
      </c>
      <c r="E69">
        <f>D69/($B$9*A69*$B$14+($B$12+$B$13)*$B$14+$E$10)</f>
        <v>0.42962909511673925</v>
      </c>
      <c r="F69">
        <f>C69*$B$14/($B$14-2*E69)</f>
        <v>169.23627604622163</v>
      </c>
      <c r="G69">
        <f>IF($B$4&lt;=6,$B$20,IF(A69&gt;6,$B$20,$B$20+((6-A69)/6)*($B$18-$B$20)))</f>
        <v>0.2709900610145441</v>
      </c>
      <c r="H69">
        <f t="shared" si="4"/>
        <v>28.66334298227489</v>
      </c>
      <c r="I69">
        <f>IF($E$11&lt;A69,0,2*$E$7/$E$11*(1-A69/$E$11))*((A69-A68)/2+(A70-A69)/2)</f>
        <v>0</v>
      </c>
      <c r="J69">
        <f>G69*$E$10/(MIN(A69/2,$E$9)+$E$8+A69/2)*((A69-A68)/2+(A70-A69)/2)</f>
        <v>7.3240557030957865</v>
      </c>
      <c r="K69">
        <f>$G$20*O69/$O$71</f>
        <v>6.000610159351684</v>
      </c>
      <c r="L69" s="3">
        <f t="shared" si="1"/>
        <v>41.98800884472236</v>
      </c>
      <c r="M69">
        <f>$E$4</f>
        <v>40</v>
      </c>
      <c r="N69">
        <f t="shared" si="2"/>
        <v>0.9526529383168824</v>
      </c>
      <c r="O69" s="3">
        <f>IF($B$4&lt;=6,$B$14-($B$4-A69)/TAN($H$4*(45+$B$6/2)),IF(($B$4-A69)&lt;0.4*$B$4,$B$14-($B$4-A69)/2,$B$14-0.2*$B$4-(0.6*$B$4-A69)/6))</f>
        <v>5.609574694348665</v>
      </c>
      <c r="P69">
        <f>2*(C69-$B$13)*O69*$B$10*TAN(3.1415/180*$B$6)</f>
        <v>754.1214484496223</v>
      </c>
      <c r="Q69">
        <f t="shared" si="3"/>
        <v>17.9604003428329</v>
      </c>
      <c r="R69">
        <f>MIN($E$4,P69)</f>
        <v>40</v>
      </c>
    </row>
    <row r="70" spans="1:18" ht="12.75">
      <c r="A70">
        <v>5.75</v>
      </c>
      <c r="B70">
        <f>A70+$B$14*TAN($H$4*$H$5)</f>
        <v>5.75</v>
      </c>
      <c r="C70">
        <f>((A70+B70)/2*$B$9+$B$12+$B$13)</f>
        <v>155</v>
      </c>
      <c r="D70">
        <f>$B$19*$B$8*B70*B70*B70/6+$B$19*($B$12+$B$13)*B70*B70/2+$E$7*B70</f>
        <v>554.2760501344728</v>
      </c>
      <c r="E70">
        <f>D70/($B$9*A70*$B$14+($B$12+$B$13)*$B$14+$E$10)</f>
        <v>0.4905097788800645</v>
      </c>
      <c r="F70">
        <f>C70*$B$14/($B$14-2*E70)</f>
        <v>185.29659772592368</v>
      </c>
      <c r="G70">
        <f>IF($B$4&lt;=6,$B$20,IF(A70&gt;6,$B$20,$B$20+((6-A70)/6)*($B$18-$B$20)))</f>
        <v>0.2709900610145441</v>
      </c>
      <c r="H70">
        <f>G70*F70*((A70-A69)/2+(A71-A70))</f>
        <v>25.106768161767743</v>
      </c>
      <c r="I70">
        <f>IF($E$11&lt;A70,0,2*$E$7/$E$11*(1-A70/$E$11))*((A70-A69)/2+(A71-A70)/2)</f>
        <v>0</v>
      </c>
      <c r="J70">
        <f>G70*$E$10/(MIN(A70/2,$E$9)+$E$8+A70/2)*((A70-A69)/2+(A71-A70)/2)</f>
        <v>4.169077861762217</v>
      </c>
      <c r="K70">
        <f>$G$20*O70/$O$71</f>
        <v>6.279037691230898</v>
      </c>
      <c r="L70" s="3">
        <f t="shared" si="1"/>
        <v>35.554883714760855</v>
      </c>
      <c r="M70">
        <f>$E$4</f>
        <v>40</v>
      </c>
      <c r="N70">
        <f t="shared" si="2"/>
        <v>1.1250212578643233</v>
      </c>
      <c r="O70" s="3">
        <f>IF($B$4&lt;=6,$B$14-($B$4-A70)/TAN($H$4*(45+$B$6/2)),IF(($B$4-A70)&lt;0.4*$B$4,$B$14-($B$4-A70)/2,$B$14-0.2*$B$4-(0.6*$B$4-A70)/6))</f>
        <v>5.869858231449555</v>
      </c>
      <c r="P70">
        <f>2*(C70-$B$13)*O70*$B$10*TAN(3.1415/180*$B$6)</f>
        <v>854.8719678339254</v>
      </c>
      <c r="Q70">
        <f t="shared" si="3"/>
        <v>24.0437284141368</v>
      </c>
      <c r="R70">
        <f>MIN($E$4,P70)</f>
        <v>40</v>
      </c>
    </row>
    <row r="71" spans="1:18" ht="12.75">
      <c r="A71">
        <v>6</v>
      </c>
      <c r="B71">
        <f>A71+$B$14*TAN($H$4*$H$5)</f>
        <v>6</v>
      </c>
      <c r="C71">
        <f>((A71+B71)/2*$B$9+$B$12+$B$13)</f>
        <v>160</v>
      </c>
      <c r="D71">
        <f>$B$19*$B$8*B71*B71*B71/6+$B$19*($B$12+$B$13)*B71*B71/2+$E$7*B71</f>
        <v>606.0000094057848</v>
      </c>
      <c r="E71">
        <f>D71/($B$9*A71*$B$14+($B$12+$B$13)*$B$14+$E$10)</f>
        <v>0.5224138012118834</v>
      </c>
      <c r="F71">
        <f>C71*$B$14/($B$14-2*E71)</f>
        <v>193.73695261734449</v>
      </c>
      <c r="G71">
        <f>IF($B$4&lt;=6,$B$20,IF(A71&gt;6,$B$20,$B$20+((6-A71)/6)*($B$18-$B$20)))</f>
        <v>0.2709900610145441</v>
      </c>
      <c r="K71">
        <f>SUM(K62:K70)</f>
        <v>42.72917639305703</v>
      </c>
      <c r="L71" s="3"/>
      <c r="O71" s="3">
        <f>SUM(O62:O70)</f>
        <v>39.94468899655196</v>
      </c>
      <c r="P71">
        <f>2*(C71-$B$13)*O71*$B$10*TAN(3.1415/180*$B$6)</f>
        <v>6041.1959749076805</v>
      </c>
      <c r="R71">
        <f>MIN($E$4,P71)</f>
        <v>40</v>
      </c>
    </row>
    <row r="74" spans="12:15" ht="12.75">
      <c r="L74" s="3"/>
      <c r="O74" s="3"/>
    </row>
    <row r="75" spans="12:15" ht="12.75">
      <c r="L75" s="3"/>
      <c r="O75" s="3"/>
    </row>
    <row r="76" spans="12:15" ht="12.75">
      <c r="L76" s="3"/>
      <c r="O76" s="3"/>
    </row>
    <row r="77" spans="12:15" ht="12.75">
      <c r="L77" s="3"/>
      <c r="O77" s="3"/>
    </row>
    <row r="78" spans="12:15" ht="12.75">
      <c r="L78" s="3"/>
      <c r="O78" s="3"/>
    </row>
    <row r="79" spans="12:15" ht="12.75">
      <c r="L79" s="3"/>
      <c r="O79" s="3"/>
    </row>
    <row r="80" spans="12:15" ht="12.75">
      <c r="L80" s="3"/>
      <c r="O80" s="3"/>
    </row>
    <row r="81" spans="12:15" ht="12.75">
      <c r="L81" s="3"/>
      <c r="O81" s="3"/>
    </row>
    <row r="82" spans="12:15" ht="12.75">
      <c r="L82" s="3"/>
      <c r="O82" s="3"/>
    </row>
    <row r="83" spans="11:15" ht="12.75">
      <c r="K83">
        <f>SUM(K62:K82)</f>
        <v>85.45835278611406</v>
      </c>
      <c r="L83" s="3"/>
      <c r="O83" s="3">
        <f>SUM(O61:O82)</f>
        <v>79.88937799310392</v>
      </c>
    </row>
    <row r="84" spans="12:15" ht="12.75">
      <c r="L84" s="3"/>
      <c r="O84" s="3"/>
    </row>
    <row r="85" spans="12:15" ht="12.75">
      <c r="L85" s="3"/>
      <c r="O85" s="3"/>
    </row>
    <row r="86" spans="12:15" ht="12.75">
      <c r="L86" s="3"/>
      <c r="O86" s="3"/>
    </row>
    <row r="87" spans="12:15" ht="12.75">
      <c r="L87" s="3"/>
      <c r="O87" s="3"/>
    </row>
  </sheetData>
  <sheetProtection/>
  <printOptions/>
  <pageMargins left="0.75" right="0.75" top="1" bottom="1" header="0.5" footer="0.5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IIT MADRAS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Rajagopal</dc:creator>
  <cp:keywords/>
  <dc:description/>
  <cp:lastModifiedBy>RajagopalK</cp:lastModifiedBy>
  <dcterms:created xsi:type="dcterms:W3CDTF">2007-03-08T07:07:11Z</dcterms:created>
  <dcterms:modified xsi:type="dcterms:W3CDTF">2013-01-22T18:36:33Z</dcterms:modified>
  <cp:category/>
  <cp:version/>
  <cp:contentType/>
  <cp:contentStatus/>
</cp:coreProperties>
</file>